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בלוק A" sheetId="1" r:id="rId4"/>
  </sheets>
  <definedNames/>
  <calcPr/>
</workbook>
</file>

<file path=xl/sharedStrings.xml><?xml version="1.0" encoding="utf-8"?>
<sst xmlns="http://schemas.openxmlformats.org/spreadsheetml/2006/main" count="60" uniqueCount="58">
  <si>
    <t>מחיר בדולר</t>
  </si>
  <si>
    <t>מחיר ₪</t>
  </si>
  <si>
    <t>מטר מרובע</t>
  </si>
  <si>
    <t>שער דולר</t>
  </si>
  <si>
    <t>תשלומים</t>
  </si>
  <si>
    <t>תאריך</t>
  </si>
  <si>
    <t>הוצאות</t>
  </si>
  <si>
    <t>צפי הכנסות (יזם)</t>
  </si>
  <si>
    <t>מחיר דירה</t>
  </si>
  <si>
    <t>עליית מחירים שנתית</t>
  </si>
  <si>
    <t>עמלת שיווק</t>
  </si>
  <si>
    <t>תפוסה שנתית</t>
  </si>
  <si>
    <t>עורך דין</t>
  </si>
  <si>
    <t>הכנסה שנתית</t>
  </si>
  <si>
    <t>אגרות רישום</t>
  </si>
  <si>
    <t>מחיר לילה</t>
  </si>
  <si>
    <t>סה״כ</t>
  </si>
  <si>
    <t>חודשי ממוצע לפני מס + חברת ניהול</t>
  </si>
  <si>
    <t>סה״כ כולל מע״מ</t>
  </si>
  <si>
    <t>עליית מחירים 4 שנים</t>
  </si>
  <si>
    <t>עליית מחירים פלוס תשואה 4 שנים</t>
  </si>
  <si>
    <t>עליית מחירים פלוס תשואה 5 שנים</t>
  </si>
  <si>
    <t>עליית מחירים פלוס תשואה 6 שנים</t>
  </si>
  <si>
    <t>מקדמה</t>
  </si>
  <si>
    <t>תשלום ראשון 30%</t>
  </si>
  <si>
    <t>תשלום חודשי</t>
  </si>
  <si>
    <t>יתרה בתשלומים</t>
  </si>
  <si>
    <t>לוח סילוקין</t>
  </si>
  <si>
    <t>תשלומים לפי שלבים</t>
  </si>
  <si>
    <t>תשלום עכשיו</t>
  </si>
  <si>
    <t>תשלומים בעוד 10 ימים בחוזה</t>
  </si>
  <si>
    <t>תשלום 1</t>
  </si>
  <si>
    <t>עורך דין כולל מע״מ</t>
  </si>
  <si>
    <t>תשלום 2</t>
  </si>
  <si>
    <t>עמלת שיווק כולל מע״מ</t>
  </si>
  <si>
    <t>תשלום 3</t>
  </si>
  <si>
    <t>אגרות רישום הנכס</t>
  </si>
  <si>
    <t>תשלום 4</t>
  </si>
  <si>
    <t>תשלום 5</t>
  </si>
  <si>
    <t>תשלום 6</t>
  </si>
  <si>
    <t>תשלום 7</t>
  </si>
  <si>
    <t>תשלום 8</t>
  </si>
  <si>
    <t>תשלום 9</t>
  </si>
  <si>
    <t>תשלום 10</t>
  </si>
  <si>
    <t>תשלום 11</t>
  </si>
  <si>
    <t>תשלום 12</t>
  </si>
  <si>
    <t>תשלום 13</t>
  </si>
  <si>
    <t>תשלום 14</t>
  </si>
  <si>
    <t>תשלום 15</t>
  </si>
  <si>
    <t>תשלום 16</t>
  </si>
  <si>
    <t>תשלום 17</t>
  </si>
  <si>
    <t>תשלום 18</t>
  </si>
  <si>
    <t>תשלום 19</t>
  </si>
  <si>
    <t>תשלום 20</t>
  </si>
  <si>
    <t>תשלום 21</t>
  </si>
  <si>
    <t>תשלום 22</t>
  </si>
  <si>
    <t>תשלום 23</t>
  </si>
  <si>
    <t>תשלום 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</si>
</sst>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$]#,##0.00"/>
    <numFmt numFmtId="165" formatCode="[$₪-40D]#,##0"/>
    <numFmt numFmtId="166" formatCode="dd/mm/yy"/>
    <numFmt numFmtId="167" formatCode="dd/MM/yyyy"/>
  </numFmts>
  <fonts count="10">
    <font>
      <sz val="10.0"/>
      <color rgb="FF000000"/>
      <name val="Arial"/>
      <scheme val="minor"/>
    </font>
    <font>
      <b/>
      <sz val="12.0"/>
      <color theme="1"/>
      <name val="Rubik"/>
    </font>
    <font>
      <b/>
      <sz val="11.0"/>
      <color theme="1"/>
      <name val="Rubik"/>
    </font>
    <font>
      <color theme="1"/>
      <name val="Rubik"/>
    </font>
    <font>
      <b/>
      <sz val="13.0"/>
      <color theme="1"/>
      <name val="Rubik"/>
    </font>
    <font>
      <sz val="11.0"/>
      <color theme="1"/>
      <name val="Rubik"/>
    </font>
    <font>
      <sz val="13.0"/>
      <color theme="1"/>
      <name val="Rubik"/>
    </font>
    <font/>
    <font>
      <sz val="12.0"/>
      <color theme="1"/>
      <name val="Rubik"/>
    </font>
    <font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theme="7"/>
        <bgColor theme="7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4A86E8"/>
        <bgColor rgb="FF4A86E8"/>
      </patternFill>
    </fill>
    <fill>
      <patternFill patternType="solid">
        <fgColor rgb="FFFF00FF"/>
        <bgColor rgb="FFFF00FF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3" numFmtId="0" xfId="0" applyFont="1"/>
    <xf borderId="0" fillId="0" fontId="4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6" numFmtId="164" xfId="0" applyAlignment="1" applyFont="1" applyNumberFormat="1">
      <alignment horizontal="center" readingOrder="0"/>
    </xf>
    <xf borderId="0" fillId="0" fontId="6" numFmtId="165" xfId="0" applyAlignment="1" applyFont="1" applyNumberFormat="1">
      <alignment horizontal="center"/>
    </xf>
    <xf borderId="0" fillId="0" fontId="6" numFmtId="0" xfId="0" applyAlignment="1" applyFont="1">
      <alignment horizontal="center" readingOrder="0"/>
    </xf>
    <xf borderId="0" fillId="0" fontId="6" numFmtId="166" xfId="0" applyAlignment="1" applyFont="1" applyNumberFormat="1">
      <alignment horizontal="center" readingOrder="0"/>
    </xf>
    <xf borderId="1" fillId="2" fontId="4" numFmtId="0" xfId="0" applyAlignment="1" applyBorder="1" applyFill="1" applyFont="1">
      <alignment horizontal="center" readingOrder="0" vertical="center"/>
    </xf>
    <xf borderId="2" fillId="0" fontId="7" numFmtId="0" xfId="0" applyBorder="1" applyFont="1"/>
    <xf borderId="3" fillId="0" fontId="7" numFmtId="0" xfId="0" applyBorder="1" applyFont="1"/>
    <xf borderId="4" fillId="0" fontId="7" numFmtId="0" xfId="0" applyBorder="1" applyFont="1"/>
    <xf borderId="5" fillId="0" fontId="7" numFmtId="0" xfId="0" applyBorder="1" applyFont="1"/>
    <xf borderId="6" fillId="0" fontId="7" numFmtId="0" xfId="0" applyBorder="1" applyFont="1"/>
    <xf borderId="1" fillId="3" fontId="1" numFmtId="0" xfId="0" applyAlignment="1" applyBorder="1" applyFill="1" applyFont="1">
      <alignment horizontal="center" readingOrder="0" vertical="center"/>
    </xf>
    <xf borderId="0" fillId="0" fontId="8" numFmtId="0" xfId="0" applyAlignment="1" applyFont="1">
      <alignment horizontal="center"/>
    </xf>
    <xf borderId="1" fillId="0" fontId="4" numFmtId="0" xfId="0" applyAlignment="1" applyBorder="1" applyFont="1">
      <alignment horizontal="right" readingOrder="0"/>
    </xf>
    <xf borderId="2" fillId="0" fontId="8" numFmtId="165" xfId="0" applyAlignment="1" applyBorder="1" applyFont="1" applyNumberFormat="1">
      <alignment horizontal="center"/>
    </xf>
    <xf borderId="3" fillId="0" fontId="5" numFmtId="0" xfId="0" applyAlignment="1" applyBorder="1" applyFont="1">
      <alignment horizontal="center"/>
    </xf>
    <xf borderId="0" fillId="0" fontId="5" numFmtId="3" xfId="0" applyAlignment="1" applyFont="1" applyNumberFormat="1">
      <alignment horizontal="center" readingOrder="0"/>
    </xf>
    <xf borderId="3" fillId="0" fontId="6" numFmtId="9" xfId="0" applyAlignment="1" applyBorder="1" applyFont="1" applyNumberFormat="1">
      <alignment horizontal="center" readingOrder="0"/>
    </xf>
    <xf borderId="0" fillId="0" fontId="3" numFmtId="0" xfId="0" applyAlignment="1" applyFont="1">
      <alignment horizontal="center" readingOrder="0"/>
    </xf>
    <xf borderId="7" fillId="0" fontId="4" numFmtId="0" xfId="0" applyAlignment="1" applyBorder="1" applyFont="1">
      <alignment horizontal="right" readingOrder="0"/>
    </xf>
    <xf borderId="0" fillId="0" fontId="8" numFmtId="165" xfId="0" applyAlignment="1" applyFont="1" applyNumberFormat="1">
      <alignment horizontal="center"/>
    </xf>
    <xf borderId="8" fillId="0" fontId="8" numFmtId="165" xfId="0" applyAlignment="1" applyBorder="1" applyFont="1" applyNumberFormat="1">
      <alignment horizontal="center"/>
    </xf>
    <xf borderId="0" fillId="0" fontId="5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8" fillId="0" fontId="6" numFmtId="9" xfId="0" applyAlignment="1" applyBorder="1" applyFont="1" applyNumberFormat="1">
      <alignment horizontal="center" readingOrder="0"/>
    </xf>
    <xf borderId="0" fillId="0" fontId="8" numFmtId="165" xfId="0" applyAlignment="1" applyFont="1" applyNumberFormat="1">
      <alignment horizontal="center" readingOrder="0"/>
    </xf>
    <xf borderId="0" fillId="0" fontId="9" numFmtId="0" xfId="0" applyAlignment="1" applyFont="1">
      <alignment horizontal="center" readingOrder="0"/>
    </xf>
    <xf borderId="8" fillId="0" fontId="6" numFmtId="165" xfId="0" applyAlignment="1" applyBorder="1" applyFont="1" applyNumberFormat="1">
      <alignment horizontal="center"/>
    </xf>
    <xf borderId="8" fillId="0" fontId="5" numFmtId="0" xfId="0" applyAlignment="1" applyBorder="1" applyFont="1">
      <alignment horizontal="center"/>
    </xf>
    <xf borderId="8" fillId="0" fontId="6" numFmtId="164" xfId="0" applyAlignment="1" applyBorder="1" applyFont="1" applyNumberFormat="1">
      <alignment horizontal="center" readingOrder="0"/>
    </xf>
    <xf borderId="4" fillId="0" fontId="4" numFmtId="0" xfId="0" applyAlignment="1" applyBorder="1" applyFont="1">
      <alignment horizontal="right" readingOrder="0"/>
    </xf>
    <xf borderId="5" fillId="0" fontId="8" numFmtId="165" xfId="0" applyAlignment="1" applyBorder="1" applyFont="1" applyNumberFormat="1">
      <alignment horizontal="center"/>
    </xf>
    <xf borderId="6" fillId="0" fontId="8" numFmtId="0" xfId="0" applyAlignment="1" applyBorder="1" applyFont="1">
      <alignment horizontal="center"/>
    </xf>
    <xf borderId="0" fillId="0" fontId="1" numFmtId="0" xfId="0" applyAlignment="1" applyFont="1">
      <alignment horizontal="center" readingOrder="0" vertical="center"/>
    </xf>
    <xf borderId="7" fillId="0" fontId="4" numFmtId="0" xfId="0" applyAlignment="1" applyBorder="1" applyFont="1">
      <alignment horizontal="center" readingOrder="0"/>
    </xf>
    <xf borderId="8" fillId="4" fontId="4" numFmtId="165" xfId="0" applyAlignment="1" applyBorder="1" applyFill="1" applyFont="1" applyNumberFormat="1">
      <alignment horizontal="center" readingOrder="0"/>
    </xf>
    <xf borderId="1" fillId="5" fontId="4" numFmtId="0" xfId="0" applyAlignment="1" applyBorder="1" applyFill="1" applyFont="1">
      <alignment horizontal="center" readingOrder="0" vertical="center"/>
    </xf>
    <xf borderId="0" fillId="0" fontId="9" numFmtId="0" xfId="0" applyAlignment="1" applyFont="1">
      <alignment readingOrder="0"/>
    </xf>
    <xf borderId="0" fillId="0" fontId="6" numFmtId="0" xfId="0" applyAlignment="1" applyFont="1">
      <alignment horizontal="center"/>
    </xf>
    <xf borderId="0" fillId="0" fontId="9" numFmtId="0" xfId="0" applyAlignment="1" applyFont="1">
      <alignment readingOrder="0"/>
    </xf>
    <xf borderId="4" fillId="0" fontId="4" numFmtId="0" xfId="0" applyAlignment="1" applyBorder="1" applyFont="1">
      <alignment horizontal="center" readingOrder="0"/>
    </xf>
    <xf borderId="6" fillId="4" fontId="4" numFmtId="165" xfId="0" applyAlignment="1" applyBorder="1" applyFont="1" applyNumberFormat="1">
      <alignment horizontal="center" readingOrder="0"/>
    </xf>
    <xf borderId="3" fillId="0" fontId="8" numFmtId="165" xfId="0" applyAlignment="1" applyBorder="1" applyFont="1" applyNumberFormat="1">
      <alignment horizontal="center" readingOrder="0"/>
    </xf>
    <xf borderId="0" fillId="0" fontId="9" numFmtId="164" xfId="0" applyFont="1" applyNumberFormat="1"/>
    <xf borderId="6" fillId="0" fontId="8" numFmtId="165" xfId="0" applyAlignment="1" applyBorder="1" applyFont="1" applyNumberFormat="1">
      <alignment horizontal="center"/>
    </xf>
    <xf borderId="1" fillId="6" fontId="1" numFmtId="0" xfId="0" applyAlignment="1" applyBorder="1" applyFill="1" applyFont="1">
      <alignment horizontal="center" readingOrder="0" vertical="center"/>
    </xf>
    <xf borderId="1" fillId="7" fontId="4" numFmtId="0" xfId="0" applyAlignment="1" applyBorder="1" applyFill="1" applyFont="1">
      <alignment horizontal="center" readingOrder="0" vertical="center"/>
    </xf>
    <xf borderId="1" fillId="0" fontId="4" numFmtId="0" xfId="0" applyAlignment="1" applyBorder="1" applyFont="1">
      <alignment readingOrder="0"/>
    </xf>
    <xf borderId="3" fillId="0" fontId="6" numFmtId="165" xfId="0" applyAlignment="1" applyBorder="1" applyFont="1" applyNumberFormat="1">
      <alignment horizontal="center"/>
    </xf>
    <xf borderId="1" fillId="0" fontId="4" numFmtId="0" xfId="0" applyAlignment="1" applyBorder="1" applyFont="1">
      <alignment readingOrder="0" vertical="center"/>
    </xf>
    <xf borderId="9" fillId="0" fontId="6" numFmtId="165" xfId="0" applyAlignment="1" applyBorder="1" applyFont="1" applyNumberFormat="1">
      <alignment horizontal="center"/>
    </xf>
    <xf borderId="1" fillId="0" fontId="1" numFmtId="0" xfId="0" applyAlignment="1" applyBorder="1" applyFont="1">
      <alignment horizontal="right" readingOrder="0"/>
    </xf>
    <xf borderId="2" fillId="0" fontId="8" numFmtId="167" xfId="0" applyAlignment="1" applyBorder="1" applyFont="1" applyNumberFormat="1">
      <alignment horizontal="center" readingOrder="0"/>
    </xf>
    <xf borderId="3" fillId="0" fontId="8" numFmtId="165" xfId="0" applyAlignment="1" applyBorder="1" applyFont="1" applyNumberFormat="1">
      <alignment horizontal="center"/>
    </xf>
    <xf borderId="7" fillId="0" fontId="4" numFmtId="0" xfId="0" applyAlignment="1" applyBorder="1" applyFont="1">
      <alignment readingOrder="0" vertical="center"/>
    </xf>
    <xf borderId="10" fillId="0" fontId="6" numFmtId="165" xfId="0" applyAlignment="1" applyBorder="1" applyFont="1" applyNumberFormat="1">
      <alignment horizontal="center"/>
    </xf>
    <xf borderId="7" fillId="0" fontId="1" numFmtId="0" xfId="0" applyAlignment="1" applyBorder="1" applyFont="1">
      <alignment horizontal="right" readingOrder="0"/>
    </xf>
    <xf borderId="0" fillId="0" fontId="8" numFmtId="167" xfId="0" applyAlignment="1" applyFont="1" applyNumberFormat="1">
      <alignment horizontal="center" readingOrder="0"/>
    </xf>
    <xf borderId="4" fillId="0" fontId="4" numFmtId="0" xfId="0" applyAlignment="1" applyBorder="1" applyFont="1">
      <alignment readingOrder="0" vertical="center"/>
    </xf>
    <xf borderId="11" fillId="0" fontId="6" numFmtId="165" xfId="0" applyAlignment="1" applyBorder="1" applyFont="1" applyNumberFormat="1">
      <alignment horizontal="center"/>
    </xf>
    <xf borderId="6" fillId="0" fontId="6" numFmtId="165" xfId="0" applyAlignment="1" applyBorder="1" applyFont="1" applyNumberFormat="1">
      <alignment horizontal="center"/>
    </xf>
    <xf borderId="8" fillId="0" fontId="8" numFmtId="0" xfId="0" applyAlignment="1" applyBorder="1" applyFont="1">
      <alignment horizontal="center"/>
    </xf>
    <xf borderId="4" fillId="0" fontId="1" numFmtId="0" xfId="0" applyAlignment="1" applyBorder="1" applyFont="1">
      <alignment horizontal="right" readingOrder="0"/>
    </xf>
    <xf borderId="5" fillId="0" fontId="8" numFmtId="167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rightToLeft="1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2" max="2" width="20.63"/>
    <col customWidth="1" min="3" max="3" width="18.63"/>
    <col customWidth="1" min="5" max="5" width="20.38"/>
    <col customWidth="1" min="6" max="6" width="16.13"/>
    <col customWidth="1" min="7" max="7" width="36.5"/>
    <col customWidth="1" min="8" max="8" width="19.0"/>
    <col customWidth="1" min="10" max="10" width="17.0"/>
  </cols>
  <sheetData>
    <row r="1" ht="27.0" customHeight="1">
      <c r="A1" s="1"/>
      <c r="B1" s="2"/>
      <c r="C1" s="2"/>
      <c r="D1" s="3"/>
      <c r="E1" s="4" t="s">
        <v>0</v>
      </c>
      <c r="F1" s="4" t="s">
        <v>1</v>
      </c>
      <c r="G1" s="4" t="s">
        <v>2</v>
      </c>
      <c r="H1" s="4" t="s">
        <v>3</v>
      </c>
      <c r="I1" s="4" t="s">
        <v>4</v>
      </c>
      <c r="J1" s="4" t="s">
        <v>5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24.0" customHeight="1">
      <c r="A2" s="6"/>
      <c r="B2" s="2"/>
      <c r="C2" s="7"/>
      <c r="D2" s="3"/>
      <c r="E2" s="8">
        <v>76000.0</v>
      </c>
      <c r="F2" s="9">
        <f>E2*H2</f>
        <v>245913.96</v>
      </c>
      <c r="G2" s="10">
        <v>31.0</v>
      </c>
      <c r="H2" s="10">
        <f>IFERROR(__xludf.DUMMYFUNCTION("GOOGLEFINANCE(""CURRENCY:USDILS"")"),3.2357099999999996)</f>
        <v>3.23571</v>
      </c>
      <c r="I2" s="10">
        <v>31.0</v>
      </c>
      <c r="J2" s="11">
        <v>45748.0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>
      <c r="A3" s="6"/>
      <c r="B3" s="12" t="s">
        <v>6</v>
      </c>
      <c r="C3" s="13"/>
      <c r="D3" s="14"/>
      <c r="E3" s="7"/>
      <c r="F3" s="7"/>
      <c r="G3" s="7"/>
      <c r="H3" s="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>
      <c r="A4" s="6"/>
      <c r="B4" s="15"/>
      <c r="C4" s="16"/>
      <c r="D4" s="17"/>
      <c r="E4" s="7"/>
      <c r="F4" s="2"/>
      <c r="G4" s="18" t="s">
        <v>7</v>
      </c>
      <c r="H4" s="1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>
      <c r="A5" s="6"/>
      <c r="B5" s="2"/>
      <c r="C5" s="19"/>
      <c r="D5" s="7"/>
      <c r="E5" s="7"/>
      <c r="F5" s="2"/>
      <c r="G5" s="15"/>
      <c r="H5" s="17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>
      <c r="A6" s="6"/>
      <c r="B6" s="20" t="s">
        <v>8</v>
      </c>
      <c r="C6" s="21">
        <f>F2</f>
        <v>245913.96</v>
      </c>
      <c r="D6" s="22"/>
      <c r="E6" s="23">
        <v>224049.0</v>
      </c>
      <c r="F6" s="2"/>
      <c r="G6" s="20" t="s">
        <v>9</v>
      </c>
      <c r="H6" s="24">
        <v>0.12</v>
      </c>
      <c r="I6" s="5"/>
      <c r="J6" s="25">
        <v>162000.0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>
      <c r="A7" s="6"/>
      <c r="B7" s="26" t="s">
        <v>10</v>
      </c>
      <c r="C7" s="27">
        <f>F2*5%</f>
        <v>12295.698</v>
      </c>
      <c r="D7" s="28">
        <f>C7*17%</f>
        <v>2090.26866</v>
      </c>
      <c r="E7" s="29">
        <v>11202.0</v>
      </c>
      <c r="F7" s="30"/>
      <c r="G7" s="26" t="s">
        <v>11</v>
      </c>
      <c r="H7" s="31">
        <v>0.56</v>
      </c>
      <c r="I7" s="5"/>
      <c r="J7" s="25">
        <v>458000.0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>
      <c r="A8" s="6"/>
      <c r="B8" s="26" t="s">
        <v>12</v>
      </c>
      <c r="C8" s="32">
        <v>6500.0</v>
      </c>
      <c r="D8" s="28">
        <f>C8*18%</f>
        <v>1170</v>
      </c>
      <c r="E8" s="33">
        <v>2300.0</v>
      </c>
      <c r="F8" s="2"/>
      <c r="G8" s="26" t="s">
        <v>13</v>
      </c>
      <c r="H8" s="34">
        <f>H9*H2*365*H7*0.6</f>
        <v>31746.19795</v>
      </c>
      <c r="I8" s="5"/>
      <c r="J8" s="5">
        <f>J7-J6</f>
        <v>296000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>
      <c r="A9" s="6"/>
      <c r="B9" s="26" t="s">
        <v>14</v>
      </c>
      <c r="C9" s="32">
        <v>2300.0</v>
      </c>
      <c r="D9" s="35"/>
      <c r="E9" s="33">
        <v>237500.0</v>
      </c>
      <c r="F9" s="2"/>
      <c r="G9" s="26" t="s">
        <v>15</v>
      </c>
      <c r="H9" s="36">
        <v>80.0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>
      <c r="A10" s="6"/>
      <c r="B10" s="26" t="s">
        <v>16</v>
      </c>
      <c r="C10" s="27">
        <f>SUM(C6:C9)</f>
        <v>267009.658</v>
      </c>
      <c r="D10" s="35"/>
      <c r="F10" s="2"/>
      <c r="G10" s="26" t="s">
        <v>17</v>
      </c>
      <c r="H10" s="34">
        <f>H8/12</f>
        <v>2645.516496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>
      <c r="A11" s="6"/>
      <c r="B11" s="37" t="s">
        <v>18</v>
      </c>
      <c r="C11" s="38">
        <f>C10+D7+D8</f>
        <v>270269.9267</v>
      </c>
      <c r="D11" s="39"/>
      <c r="E11" s="19"/>
      <c r="F11" s="6">
        <f>H8/C11*100</f>
        <v>11.74610818</v>
      </c>
      <c r="G11" s="26" t="s">
        <v>19</v>
      </c>
      <c r="H11" s="34">
        <f>F2*(H6+1)^4</f>
        <v>386950.377</v>
      </c>
      <c r="I11" s="40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>
      <c r="A12" s="5"/>
      <c r="B12" s="5"/>
      <c r="C12" s="19"/>
      <c r="D12" s="5"/>
      <c r="E12" s="5"/>
      <c r="F12" s="5"/>
      <c r="G12" s="41" t="s">
        <v>20</v>
      </c>
      <c r="H12" s="42">
        <f>F2*(H6+1)^4+4*H8</f>
        <v>513935.1688</v>
      </c>
      <c r="I12" s="40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>
      <c r="A13" s="5"/>
      <c r="B13" s="43" t="s">
        <v>4</v>
      </c>
      <c r="C13" s="14"/>
      <c r="D13" s="5"/>
      <c r="E13" s="44"/>
      <c r="F13" s="5"/>
      <c r="G13" s="41" t="s">
        <v>21</v>
      </c>
      <c r="H13" s="42">
        <f>F2*(H6+1)^5+5*H8</f>
        <v>592115.4119</v>
      </c>
      <c r="I13" s="4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>
      <c r="A14" s="5"/>
      <c r="B14" s="15"/>
      <c r="C14" s="17"/>
      <c r="D14" s="5"/>
      <c r="E14" s="46">
        <v>25000.0</v>
      </c>
      <c r="F14" s="5">
        <f>60/365</f>
        <v>0.1643835616</v>
      </c>
      <c r="G14" s="47" t="s">
        <v>22</v>
      </c>
      <c r="H14" s="48">
        <f>F2*(H6+1)^6+6*H8</f>
        <v>675867.7406</v>
      </c>
      <c r="I14" s="4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>
      <c r="A15" s="5"/>
      <c r="B15" s="3"/>
      <c r="C15" s="3"/>
      <c r="D15" s="5"/>
      <c r="E15" s="46">
        <v>120000.0</v>
      </c>
      <c r="F15" s="5"/>
      <c r="I15" s="4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>
      <c r="A16" s="5"/>
      <c r="B16" s="20" t="s">
        <v>23</v>
      </c>
      <c r="C16" s="49">
        <v>7000.0</v>
      </c>
      <c r="D16" s="5"/>
      <c r="E16" s="50"/>
      <c r="F16" s="5"/>
      <c r="I16" s="4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>
      <c r="A17" s="5"/>
      <c r="B17" s="26" t="s">
        <v>24</v>
      </c>
      <c r="C17" s="28">
        <f>C6*30%-C16</f>
        <v>66774.188</v>
      </c>
      <c r="D17" s="5"/>
      <c r="F17" s="5"/>
      <c r="I17" s="4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>
      <c r="A18" s="5"/>
      <c r="B18" s="26" t="s">
        <v>25</v>
      </c>
      <c r="C18" s="28">
        <f>(C6-C17-C16)/24</f>
        <v>7172.4905</v>
      </c>
      <c r="D18" s="5"/>
      <c r="F18" s="5"/>
      <c r="I18" s="4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>
      <c r="A19" s="5"/>
      <c r="B19" s="37" t="s">
        <v>26</v>
      </c>
      <c r="C19" s="51">
        <f>C6-C17-C16</f>
        <v>172139.772</v>
      </c>
      <c r="D19" s="5"/>
      <c r="F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>
      <c r="A20" s="5"/>
      <c r="B20" s="5"/>
      <c r="C20" s="5"/>
      <c r="D20" s="5"/>
      <c r="F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>
      <c r="A21" s="5"/>
      <c r="B21" s="52" t="s">
        <v>27</v>
      </c>
      <c r="C21" s="13"/>
      <c r="D21" s="14"/>
      <c r="G21" s="53" t="s">
        <v>28</v>
      </c>
      <c r="H21" s="1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>
      <c r="A22" s="5"/>
      <c r="B22" s="15"/>
      <c r="C22" s="16"/>
      <c r="D22" s="17"/>
      <c r="G22" s="15"/>
      <c r="H22" s="17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>
      <c r="A23" s="5"/>
      <c r="B23" s="5"/>
      <c r="C23" s="5"/>
      <c r="D23" s="5"/>
      <c r="G23" s="54" t="s">
        <v>29</v>
      </c>
      <c r="H23" s="55">
        <f>H2*1000</f>
        <v>3235.71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>
      <c r="A24" s="5"/>
      <c r="B24" s="3"/>
      <c r="C24" s="3"/>
      <c r="D24" s="5"/>
      <c r="G24" s="56" t="s">
        <v>30</v>
      </c>
      <c r="H24" s="57">
        <f>C17</f>
        <v>66774.188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>
      <c r="A25" s="5"/>
      <c r="B25" s="58" t="s">
        <v>31</v>
      </c>
      <c r="C25" s="59">
        <f>EDATE(J2, 1)</f>
        <v>45778</v>
      </c>
      <c r="D25" s="60">
        <f>C18</f>
        <v>7172.4905</v>
      </c>
      <c r="G25" s="61" t="s">
        <v>32</v>
      </c>
      <c r="H25" s="62">
        <f>C8*1.17</f>
        <v>7605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>
      <c r="A26" s="5"/>
      <c r="B26" s="63" t="s">
        <v>33</v>
      </c>
      <c r="C26" s="64">
        <f t="shared" ref="C26:C48" si="1">EDATE(C25, 1)</f>
        <v>45809</v>
      </c>
      <c r="D26" s="28">
        <f t="shared" ref="D26:D48" si="2">D25</f>
        <v>7172.4905</v>
      </c>
      <c r="G26" s="61" t="s">
        <v>34</v>
      </c>
      <c r="H26" s="62">
        <f>C7*1.18</f>
        <v>14508.92364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>
      <c r="A27" s="5"/>
      <c r="B27" s="63" t="s">
        <v>35</v>
      </c>
      <c r="C27" s="64">
        <f t="shared" si="1"/>
        <v>45839</v>
      </c>
      <c r="D27" s="28">
        <f t="shared" si="2"/>
        <v>7172.4905</v>
      </c>
      <c r="G27" s="65" t="s">
        <v>36</v>
      </c>
      <c r="H27" s="66">
        <f>C9</f>
        <v>2300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>
      <c r="A28" s="5"/>
      <c r="B28" s="63" t="s">
        <v>37</v>
      </c>
      <c r="C28" s="64">
        <f t="shared" si="1"/>
        <v>45870</v>
      </c>
      <c r="D28" s="28">
        <f t="shared" si="2"/>
        <v>7172.4905</v>
      </c>
      <c r="G28" s="47" t="s">
        <v>16</v>
      </c>
      <c r="H28" s="67">
        <f>SUM(H24:H27)</f>
        <v>91188.11164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>
      <c r="A29" s="5"/>
      <c r="B29" s="63" t="s">
        <v>38</v>
      </c>
      <c r="C29" s="64">
        <f t="shared" si="1"/>
        <v>45901</v>
      </c>
      <c r="D29" s="28">
        <f t="shared" si="2"/>
        <v>7172.4905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>
      <c r="A30" s="5"/>
      <c r="B30" s="63" t="s">
        <v>39</v>
      </c>
      <c r="C30" s="64">
        <f t="shared" si="1"/>
        <v>45931</v>
      </c>
      <c r="D30" s="28">
        <f t="shared" si="2"/>
        <v>7172.4905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>
      <c r="A31" s="5"/>
      <c r="B31" s="63" t="s">
        <v>40</v>
      </c>
      <c r="C31" s="64">
        <f t="shared" si="1"/>
        <v>45962</v>
      </c>
      <c r="D31" s="28">
        <f t="shared" si="2"/>
        <v>7172.4905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>
      <c r="A32" s="5"/>
      <c r="B32" s="63" t="s">
        <v>41</v>
      </c>
      <c r="C32" s="64">
        <f t="shared" si="1"/>
        <v>45992</v>
      </c>
      <c r="D32" s="28">
        <f t="shared" si="2"/>
        <v>7172.4905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>
      <c r="A33" s="5"/>
      <c r="B33" s="63" t="s">
        <v>42</v>
      </c>
      <c r="C33" s="64">
        <f t="shared" si="1"/>
        <v>46023</v>
      </c>
      <c r="D33" s="28">
        <f t="shared" si="2"/>
        <v>7172.4905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>
      <c r="A34" s="5"/>
      <c r="B34" s="63" t="s">
        <v>43</v>
      </c>
      <c r="C34" s="64">
        <f t="shared" si="1"/>
        <v>46054</v>
      </c>
      <c r="D34" s="28">
        <f t="shared" si="2"/>
        <v>7172.4905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>
      <c r="A35" s="5"/>
      <c r="B35" s="63" t="s">
        <v>44</v>
      </c>
      <c r="C35" s="64">
        <f t="shared" si="1"/>
        <v>46082</v>
      </c>
      <c r="D35" s="28">
        <f t="shared" si="2"/>
        <v>7172.4905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>
      <c r="A36" s="5"/>
      <c r="B36" s="63" t="s">
        <v>45</v>
      </c>
      <c r="C36" s="64">
        <f t="shared" si="1"/>
        <v>46113</v>
      </c>
      <c r="D36" s="28">
        <f t="shared" si="2"/>
        <v>7172.4905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>
      <c r="A37" s="5"/>
      <c r="B37" s="63" t="s">
        <v>46</v>
      </c>
      <c r="C37" s="64">
        <f t="shared" si="1"/>
        <v>46143</v>
      </c>
      <c r="D37" s="28">
        <f t="shared" si="2"/>
        <v>7172.4905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>
      <c r="A38" s="5"/>
      <c r="B38" s="63" t="s">
        <v>47</v>
      </c>
      <c r="C38" s="64">
        <f t="shared" si="1"/>
        <v>46174</v>
      </c>
      <c r="D38" s="28">
        <f t="shared" si="2"/>
        <v>7172.4905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>
      <c r="A39" s="5"/>
      <c r="B39" s="63" t="s">
        <v>48</v>
      </c>
      <c r="C39" s="64">
        <f t="shared" si="1"/>
        <v>46204</v>
      </c>
      <c r="D39" s="28">
        <f t="shared" si="2"/>
        <v>7172.4905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>
      <c r="A40" s="5"/>
      <c r="B40" s="63" t="s">
        <v>49</v>
      </c>
      <c r="C40" s="64">
        <f t="shared" si="1"/>
        <v>46235</v>
      </c>
      <c r="D40" s="28">
        <f t="shared" si="2"/>
        <v>7172.4905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>
      <c r="A41" s="5"/>
      <c r="B41" s="63" t="s">
        <v>50</v>
      </c>
      <c r="C41" s="64">
        <f t="shared" si="1"/>
        <v>46266</v>
      </c>
      <c r="D41" s="28">
        <f t="shared" si="2"/>
        <v>7172.4905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>
      <c r="A42" s="5"/>
      <c r="B42" s="63" t="s">
        <v>51</v>
      </c>
      <c r="C42" s="64">
        <f t="shared" si="1"/>
        <v>46296</v>
      </c>
      <c r="D42" s="28">
        <f t="shared" si="2"/>
        <v>7172.4905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>
      <c r="A43" s="5"/>
      <c r="B43" s="63" t="s">
        <v>52</v>
      </c>
      <c r="C43" s="64">
        <f t="shared" si="1"/>
        <v>46327</v>
      </c>
      <c r="D43" s="28">
        <f t="shared" si="2"/>
        <v>7172.4905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>
      <c r="A44" s="5"/>
      <c r="B44" s="63" t="s">
        <v>53</v>
      </c>
      <c r="C44" s="64">
        <f t="shared" si="1"/>
        <v>46357</v>
      </c>
      <c r="D44" s="28">
        <f t="shared" si="2"/>
        <v>7172.4905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>
      <c r="A45" s="5"/>
      <c r="B45" s="63" t="s">
        <v>54</v>
      </c>
      <c r="C45" s="64">
        <f t="shared" si="1"/>
        <v>46388</v>
      </c>
      <c r="D45" s="28">
        <f t="shared" si="2"/>
        <v>7172.4905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>
      <c r="A46" s="5"/>
      <c r="B46" s="63" t="s">
        <v>55</v>
      </c>
      <c r="C46" s="64">
        <f t="shared" si="1"/>
        <v>46419</v>
      </c>
      <c r="D46" s="28">
        <f t="shared" si="2"/>
        <v>7172.4905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>
      <c r="A47" s="5"/>
      <c r="B47" s="63" t="s">
        <v>56</v>
      </c>
      <c r="C47" s="64">
        <f t="shared" si="1"/>
        <v>46447</v>
      </c>
      <c r="D47" s="28">
        <f t="shared" si="2"/>
        <v>7172.4905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>
      <c r="A48" s="5"/>
      <c r="B48" s="63" t="s">
        <v>57</v>
      </c>
      <c r="C48" s="64">
        <f t="shared" si="1"/>
        <v>46478</v>
      </c>
      <c r="D48" s="28">
        <f t="shared" si="2"/>
        <v>7172.4905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>
      <c r="A49" s="5"/>
      <c r="B49" s="63"/>
      <c r="C49" s="64"/>
      <c r="D49" s="68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>
      <c r="A50" s="5"/>
      <c r="B50" s="63"/>
      <c r="C50" s="64"/>
      <c r="D50" s="68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>
      <c r="A51" s="5"/>
      <c r="B51" s="63"/>
      <c r="C51" s="64"/>
      <c r="D51" s="68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>
      <c r="A52" s="5"/>
      <c r="B52" s="63"/>
      <c r="C52" s="64"/>
      <c r="D52" s="68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>
      <c r="A53" s="5"/>
      <c r="B53" s="63"/>
      <c r="C53" s="64"/>
      <c r="D53" s="68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>
      <c r="A54" s="5"/>
      <c r="B54" s="69"/>
      <c r="C54" s="70"/>
      <c r="D54" s="39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</sheetData>
  <mergeCells count="5">
    <mergeCell ref="B3:D4"/>
    <mergeCell ref="G4:H5"/>
    <mergeCell ref="B13:C14"/>
    <mergeCell ref="B21:D22"/>
    <mergeCell ref="G21:H22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